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culator" state="visible" r:id="rId4"/>
    <sheet sheetId="2" name="Leverage Table" state="visible" r:id="rId5"/>
    <sheet sheetId="3" name="Guide" state="visible" r:id="rId6"/>
  </sheets>
  <calcPr calcId="171027" fullCalcOnLoad="1"/>
</workbook>
</file>

<file path=xl/sharedStrings.xml><?xml version="1.0" encoding="utf-8"?>
<sst xmlns="http://schemas.openxmlformats.org/spreadsheetml/2006/main" count="93" uniqueCount="91">
  <si>
    <t>Gold (XAUUSD) Trade Calculator  ·  Leverage up to 1:2000</t>
  </si>
  <si>
    <t>Type your numbers in the YELLOW cells only. Everything else updates by itself.</t>
  </si>
  <si>
    <t>STEP 1 – FILL IN YOUR TRADE (yellow cells)</t>
  </si>
  <si>
    <t>Account balance ($)</t>
  </si>
  <si>
    <t>How much money is in your trading account</t>
  </si>
  <si>
    <t>Leverage  (1 : X)</t>
  </si>
  <si>
    <t>Type only the X, e.g. 500 for 1:500 (max 2000)</t>
  </si>
  <si>
    <t>Buy or Sell</t>
  </si>
  <si>
    <t>Buy</t>
  </si>
  <si>
    <t>Buy = you think price goes up. Sell = you think it goes down</t>
  </si>
  <si>
    <t>Lot size</t>
  </si>
  <si>
    <t>1 lot = 100 oz of gold. Smallest at Vantage is 0.01</t>
  </si>
  <si>
    <t>Entry price</t>
  </si>
  <si>
    <t>Gold price when you open the trade</t>
  </si>
  <si>
    <t>Stop loss price</t>
  </si>
  <si>
    <t>Price where you exit to limit a loss</t>
  </si>
  <si>
    <t>Take profit price</t>
  </si>
  <si>
    <t>Price where you exit to take your profit</t>
  </si>
  <si>
    <t>Most I want to lose (% of balance)</t>
  </si>
  <si>
    <t>Many traders use 1–2%. Used for the suggested lot size</t>
  </si>
  <si>
    <t>Ounces per lot</t>
  </si>
  <si>
    <t>Vantage setting – 100 oz, leave as is</t>
  </si>
  <si>
    <t>Pip size ($)</t>
  </si>
  <si>
    <t>0.10 = 10 Vantage points ($0.01 each), leave as is</t>
  </si>
  <si>
    <t>Stop-out level (%)</t>
  </si>
  <si>
    <t>Vantage closes your trades at 20% (warning at 50%)</t>
  </si>
  <si>
    <t>STEP 2 – MONEY NEEDED</t>
  </si>
  <si>
    <t>Leverage used</t>
  </si>
  <si>
    <t>Your leverage (kept between 1:1 and 1:2000)</t>
  </si>
  <si>
    <t>Gold you control (oz)</t>
  </si>
  <si>
    <t>Lots × ounces per lot</t>
  </si>
  <si>
    <t>Total value of the trade</t>
  </si>
  <si>
    <t>Ounces × entry price</t>
  </si>
  <si>
    <t>Money needed to open (margin)</t>
  </si>
  <si>
    <t>Held by the broker while the trade is open</t>
  </si>
  <si>
    <t>Money left over</t>
  </si>
  <si>
    <t>Balance minus money needed. Red = not enough</t>
  </si>
  <si>
    <t>Margin level</t>
  </si>
  <si>
    <t>Balance ÷ money needed. Higher is safer</t>
  </si>
  <si>
    <t>Biggest lot size you can afford</t>
  </si>
  <si>
    <t>Using your whole balance</t>
  </si>
  <si>
    <t>Broker auto-closes you at price</t>
  </si>
  <si>
    <t>Approximate price where the broker closes the trade</t>
  </si>
  <si>
    <t>Price move until auto-close ($)</t>
  </si>
  <si>
    <t>How far price can move against you</t>
  </si>
  <si>
    <t>STEP 3 – WHAT YOU COULD WIN OR LOSE</t>
  </si>
  <si>
    <t>Value of 1 pip (per 1 lot)</t>
  </si>
  <si>
    <t>Ounces per lot × pip size</t>
  </si>
  <si>
    <t>Value of 1 pip (your trade)</t>
  </si>
  <si>
    <t>What each pip move is worth to you</t>
  </si>
  <si>
    <t>Pips to stop loss</t>
  </si>
  <si>
    <t>Distance from entry to stop loss</t>
  </si>
  <si>
    <t>Pips to take profit</t>
  </si>
  <si>
    <t>Distance from entry to take profit</t>
  </si>
  <si>
    <t>If stop loss is hit</t>
  </si>
  <si>
    <t>Red = money you lose</t>
  </si>
  <si>
    <t>If take profit is hit</t>
  </si>
  <si>
    <t>Green = money you make</t>
  </si>
  <si>
    <t>Stop loss hit (% of balance)</t>
  </si>
  <si>
    <t>Share of your account lost at stop loss</t>
  </si>
  <si>
    <t>Risk : Reward</t>
  </si>
  <si>
    <t>How many $ you can win for every $1 you risk</t>
  </si>
  <si>
    <t>Suggested lot size</t>
  </si>
  <si>
    <t>Lot size so a stop-loss hit costs only your chosen %</t>
  </si>
  <si>
    <t>Setup check</t>
  </si>
  <si>
    <t>Quick check of your numbers</t>
  </si>
  <si>
    <t>Compare leverage levels  ·  money needed for the same trade</t>
  </si>
  <si>
    <t>Leverage</t>
  </si>
  <si>
    <t>Money needed (1 lot)</t>
  </si>
  <si>
    <t>Money needed (your lots)</t>
  </si>
  <si>
    <t>Biggest lot size</t>
  </si>
  <si>
    <t>Auto-close price</t>
  </si>
  <si>
    <t>Your current leverage is highlighted. Change numbers on the Calculator sheet, not here.</t>
  </si>
  <si>
    <t>How to use this calculator (3 easy steps)</t>
  </si>
  <si>
    <t>1. Go to the Calculator sheet. Only the YELLOW cells can be changed.</t>
  </si>
  <si>
    <t>2. Type your balance, leverage, Buy or Sell, lot size, entry, stop loss and take profit.</t>
  </si>
  <si>
    <t>3. Read the answers below: money needed to open, what you lose at stop loss, and what you make at take profit.</t>
  </si>
  <si>
    <t>Leave the three "broker settings" (ounces per lot, pip size, stop-out level) as they are – they are already set for Vantage.</t>
  </si>
  <si>
    <t/>
  </si>
  <si>
    <t>Simple words</t>
  </si>
  <si>
    <t>Leverage 1:500 – every $1 of yours controls $500 of gold. Highest allowed here is 1:2000.</t>
  </si>
  <si>
    <t>Lot – the trade size. 1 lot = 100 ounces of gold. 0.01 lot = 1 ounce.</t>
  </si>
  <si>
    <t>Pip – a $0.10 move in the gold price. With 1 lot, each pip is worth $10.</t>
  </si>
  <si>
    <t>Margin – the money the broker holds while your trade is open.</t>
  </si>
  <si>
    <t>Stop-out – the point where the broker closes your trade for you because you are losing too much. At Vantage this is a 20% margin level (you get a margin-call warning at 50%).</t>
  </si>
  <si>
    <t>How the numbers are worked out</t>
  </si>
  <si>
    <t>Money needed = Lots × Ounces per lot × Price ÷ Leverage</t>
  </si>
  <si>
    <t>Win or loss = (Exit price − Entry price) × Ounces   (the other way round for Sell)</t>
  </si>
  <si>
    <t>Suggested lot size = (Balance × Risk %) ÷ (Distance to stop loss × Ounces per lot)</t>
  </si>
  <si>
    <t>Be careful</t>
  </si>
  <si>
    <t>At 1:2000, a tiny price move can wipe out your account. These are estimates and don't include spread, swap or commission. Your real leverage at Vantage depends on your account type and region – check it in MT4/MT5. For learning only – not financial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</si>
</sst>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.00;[Red]-&quot;$&quot;#,##0.00"/>
    <numFmt numFmtId="165" formatCode="&quot;1:&quot;0"/>
    <numFmt numFmtId="166" formatCode="#,##0.0"/>
    <numFmt numFmtId="167" formatCode="&quot;1 : &quot;0.00"/>
  </numFmts>
  <fonts count="13" x14ac:knownFonts="1">
    <font>
      <color theme="1"/>
      <family val="2"/>
      <scheme val="minor"/>
      <sz val="11"/>
      <name val="Calibri"/>
    </font>
    <font>
      <b/>
      <color rgb="FFC9A227"/>
      <sz val="18"/>
    </font>
    <font>
      <i/>
      <color rgb="FF6B6250"/>
    </font>
    <font>
      <b/>
      <color rgb="FFFFFFFF"/>
      <sz val="12"/>
    </font>
    <font>
      <b/>
      <color rgb="FF7A5A00"/>
    </font>
    <font>
      <color rgb="FF7D7666"/>
      <sz val="9"/>
    </font>
    <font>
      <b/>
      <color rgb="FF14110B"/>
    </font>
    <font>
      <b/>
      <color rgb="FFC9A227"/>
      <sz val="14"/>
    </font>
    <font>
      <b/>
      <color rgb="FFFFFFFF"/>
    </font>
    <font>
      <b/>
    </font>
    <font>
      <i/>
      <color rgb="FF7D7666"/>
      <sz val="9"/>
    </font>
    <font>
      <b/>
      <color rgb="FF7A5A00"/>
      <sz val="13"/>
    </font>
    <font>
      <sz val="11"/>
    </font>
  </fonts>
  <fills count="6">
    <fill>
      <patternFill patternType="none"/>
    </fill>
    <fill>
      <patternFill patternType="gray125"/>
    </fill>
    <fill>
      <patternFill patternType="solid">
        <fgColor rgb="FF14110B"/>
      </patternFill>
    </fill>
    <fill>
      <patternFill patternType="solid">
        <fgColor rgb="FF3A3222"/>
      </patternFill>
    </fill>
    <fill>
      <patternFill patternType="solid">
        <fgColor rgb="FFFFF4D6"/>
      </patternFill>
    </fill>
    <fill>
      <patternFill patternType="solid">
        <fgColor rgb="FFF6F4EF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3" borderId="0" xfId="0" applyFont="1" applyFill="1" applyAlignment="1">
      <alignment indent="1"/>
    </xf>
    <xf numFmtId="0" fontId="0" fillId="0" borderId="1" xfId="0" applyBorder="1" applyAlignment="1">
      <alignment indent="1"/>
    </xf>
    <xf numFmtId="164" fontId="4" fillId="4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165" fontId="4" fillId="4" borderId="1" xfId="0" applyNumberFormat="1" applyFont="1" applyFill="1" applyBorder="1" applyAlignment="1" applyProtection="1">
      <alignment horizontal="right"/>
      <protection locked="0"/>
    </xf>
    <xf numFmtId="49" fontId="4" fillId="4" borderId="1" xfId="0" applyNumberFormat="1" applyFont="1" applyFill="1" applyBorder="1" applyAlignment="1" applyProtection="1">
      <alignment horizontal="right"/>
      <protection locked="0"/>
    </xf>
    <xf numFmtId="2" fontId="4" fillId="4" borderId="1" xfId="0" applyNumberFormat="1" applyFont="1" applyFill="1" applyBorder="1" applyAlignment="1" applyProtection="1">
      <alignment horizontal="right"/>
      <protection locked="0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10" fontId="4" fillId="4" borderId="1" xfId="0" applyNumberFormat="1" applyFont="1" applyFill="1" applyBorder="1" applyAlignment="1" applyProtection="1">
      <alignment horizontal="right"/>
      <protection locked="0"/>
    </xf>
    <xf numFmtId="3" fontId="4" fillId="4" borderId="1" xfId="0" applyNumberFormat="1" applyFont="1" applyFill="1" applyBorder="1" applyAlignment="1" applyProtection="1">
      <alignment horizontal="right"/>
      <protection locked="0"/>
    </xf>
    <xf numFmtId="9" fontId="4" fillId="4" borderId="1" xfId="0" applyNumberFormat="1" applyFont="1" applyFill="1" applyBorder="1" applyAlignment="1" applyProtection="1">
      <alignment horizontal="right"/>
      <protection locked="0"/>
    </xf>
    <xf numFmtId="165" fontId="6" fillId="5" borderId="1" xfId="0" applyNumberFormat="1" applyFont="1" applyFill="1" applyBorder="1" applyAlignment="1" applyProtection="1">
      <alignment horizontal="right"/>
    </xf>
    <xf numFmtId="4" fontId="6" fillId="5" borderId="1" xfId="0" applyNumberFormat="1" applyFont="1" applyFill="1" applyBorder="1" applyAlignment="1" applyProtection="1">
      <alignment horizontal="right"/>
    </xf>
    <xf numFmtId="164" fontId="6" fillId="5" borderId="1" xfId="0" applyNumberFormat="1" applyFont="1" applyFill="1" applyBorder="1" applyAlignment="1" applyProtection="1">
      <alignment horizontal="right"/>
    </xf>
    <xf numFmtId="10" fontId="6" fillId="5" borderId="1" xfId="0" applyNumberFormat="1" applyFont="1" applyFill="1" applyBorder="1" applyAlignment="1" applyProtection="1">
      <alignment horizontal="right"/>
    </xf>
    <xf numFmtId="2" fontId="6" fillId="5" borderId="1" xfId="0" applyNumberFormat="1" applyFont="1" applyFill="1" applyBorder="1" applyAlignment="1" applyProtection="1">
      <alignment horizontal="right"/>
    </xf>
    <xf numFmtId="166" fontId="6" fillId="5" borderId="1" xfId="0" applyNumberFormat="1" applyFont="1" applyFill="1" applyBorder="1" applyAlignment="1" applyProtection="1">
      <alignment horizontal="right"/>
    </xf>
    <xf numFmtId="167" fontId="6" fillId="5" borderId="1" xfId="0" applyNumberFormat="1" applyFont="1" applyFill="1" applyBorder="1" applyAlignment="1" applyProtection="1">
      <alignment horizontal="right"/>
    </xf>
    <xf numFmtId="49" fontId="6" fillId="5" borderId="1" xfId="0" applyNumberFormat="1" applyFont="1" applyFill="1" applyBorder="1" applyAlignment="1" applyProtection="1">
      <alignment horizontal="right"/>
    </xf>
    <xf numFmtId="0" fontId="7" fillId="2" borderId="0" xfId="0" applyFont="1" applyFill="1" applyAlignment="1">
      <alignment vertical="center" indent="1"/>
    </xf>
    <xf numFmtId="0" fontId="8" fillId="3" borderId="1" xfId="0" applyFont="1" applyFill="1" applyBorder="1" applyAlignment="1">
      <alignment horizontal="center"/>
    </xf>
    <xf numFmtId="165" fontId="9" fillId="0" borderId="1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165" fontId="9" fillId="5" borderId="1" xfId="0" applyNumberFormat="1" applyFont="1" applyFill="1" applyBorder="1" applyAlignment="1">
      <alignment horizontal="right"/>
    </xf>
    <xf numFmtId="164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4" fontId="0" fillId="5" borderId="1" xfId="0" applyNumberFormat="1" applyFill="1" applyBorder="1" applyAlignment="1">
      <alignment horizontal="right"/>
    </xf>
    <xf numFmtId="0" fontId="10" fillId="0" borderId="0" xfId="0" applyFont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</cellXfs>
  <cellStyles count="1">
    <cellStyle name="Normal" xfId="0" builtinId="0"/>
  </cellStyles>
  <dxfs count="5">
    <dxf>
      <font>
        <b/>
        <color rgb="FFC0392B"/>
      </font>
    </dxf>
    <dxf>
      <font>
        <b/>
        <color rgb="FF1E8449"/>
      </font>
    </dxf>
    <dxf>
      <font>
        <b/>
        <color rgb="FFC0392B"/>
      </font>
      <fill>
        <patternFill patternType="solid">
          <bgColor rgb="FFFDECEA"/>
        </patternFill>
      </fill>
    </dxf>
    <dxf>
      <font>
        <b/>
        <color rgb="FFC0392B"/>
      </font>
    </dxf>
    <dxf>
      <font>
        <b/>
      </font>
      <fill>
        <patternFill patternType="solid">
          <bgColor rgb="FFFFE9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A227"/>
  </sheetPr>
  <dimension ref="B1:D38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36" customWidth="1"/>
    <col min="3" max="3" width="20" customWidth="1"/>
    <col min="4" max="4" width="58" customWidth="1"/>
  </cols>
  <sheetData>
    <row r="1" ht="34" customHeight="1" spans="2:4" x14ac:dyDescent="0.25">
      <c r="B1" s="1" t="s">
        <v>0</v>
      </c>
      <c r="C1" s="1"/>
      <c r="D1" s="1"/>
    </row>
    <row r="2" spans="2:4" x14ac:dyDescent="0.25">
      <c r="B2" s="2" t="s">
        <v>1</v>
      </c>
      <c r="C2" s="2"/>
      <c r="D2" s="2"/>
    </row>
    <row r="4" ht="22" customHeight="1" spans="2:4" x14ac:dyDescent="0.25">
      <c r="B4" s="3" t="s">
        <v>2</v>
      </c>
      <c r="C4" s="3"/>
      <c r="D4" s="3"/>
    </row>
    <row r="5" spans="2:4" x14ac:dyDescent="0.25">
      <c r="B5" s="4" t="s">
        <v>3</v>
      </c>
      <c r="C5" s="5">
        <v>10000</v>
      </c>
      <c r="D5" s="6" t="s">
        <v>4</v>
      </c>
    </row>
    <row r="6" spans="2:4" x14ac:dyDescent="0.25">
      <c r="B6" s="4" t="s">
        <v>5</v>
      </c>
      <c r="C6" s="7">
        <v>2000</v>
      </c>
      <c r="D6" s="6" t="s">
        <v>6</v>
      </c>
    </row>
    <row r="7" spans="2:4" x14ac:dyDescent="0.25">
      <c r="B7" s="4" t="s">
        <v>7</v>
      </c>
      <c r="C7" s="8" t="s">
        <v>8</v>
      </c>
      <c r="D7" s="6" t="s">
        <v>9</v>
      </c>
    </row>
    <row r="8" spans="2:4" x14ac:dyDescent="0.25">
      <c r="B8" s="4" t="s">
        <v>10</v>
      </c>
      <c r="C8" s="9">
        <v>1</v>
      </c>
      <c r="D8" s="6" t="s">
        <v>11</v>
      </c>
    </row>
    <row r="9" spans="2:4" x14ac:dyDescent="0.25">
      <c r="B9" s="4" t="s">
        <v>12</v>
      </c>
      <c r="C9" s="10">
        <v>2650</v>
      </c>
      <c r="D9" s="6" t="s">
        <v>13</v>
      </c>
    </row>
    <row r="10" spans="2:4" x14ac:dyDescent="0.25">
      <c r="B10" s="4" t="s">
        <v>14</v>
      </c>
      <c r="C10" s="10">
        <v>2640</v>
      </c>
      <c r="D10" s="6" t="s">
        <v>15</v>
      </c>
    </row>
    <row r="11" spans="2:4" x14ac:dyDescent="0.25">
      <c r="B11" s="4" t="s">
        <v>16</v>
      </c>
      <c r="C11" s="10">
        <v>2680</v>
      </c>
      <c r="D11" s="6" t="s">
        <v>17</v>
      </c>
    </row>
    <row r="12" spans="2:4" x14ac:dyDescent="0.25">
      <c r="B12" s="4" t="s">
        <v>18</v>
      </c>
      <c r="C12" s="11">
        <v>0.01</v>
      </c>
      <c r="D12" s="6" t="s">
        <v>19</v>
      </c>
    </row>
    <row r="13" spans="2:4" x14ac:dyDescent="0.25">
      <c r="B13" s="4" t="s">
        <v>20</v>
      </c>
      <c r="C13" s="12">
        <v>100</v>
      </c>
      <c r="D13" s="6" t="s">
        <v>21</v>
      </c>
    </row>
    <row r="14" spans="2:4" x14ac:dyDescent="0.25">
      <c r="B14" s="4" t="s">
        <v>22</v>
      </c>
      <c r="C14" s="9">
        <v>0.1</v>
      </c>
      <c r="D14" s="6" t="s">
        <v>23</v>
      </c>
    </row>
    <row r="15" spans="2:4" x14ac:dyDescent="0.25">
      <c r="B15" s="4" t="s">
        <v>24</v>
      </c>
      <c r="C15" s="13">
        <v>0.2</v>
      </c>
      <c r="D15" s="6" t="s">
        <v>25</v>
      </c>
    </row>
    <row r="17" ht="22" customHeight="1" spans="2:4" x14ac:dyDescent="0.25">
      <c r="B17" s="3" t="s">
        <v>26</v>
      </c>
      <c r="C17" s="3"/>
      <c r="D17" s="3"/>
    </row>
    <row r="18" spans="2:4" x14ac:dyDescent="0.25">
      <c r="B18" s="4" t="s">
        <v>27</v>
      </c>
      <c r="C18" s="14">
        <f>MIN(MAX(ROUND(C6,0),1),2000)</f>
      </c>
      <c r="D18" s="6" t="s">
        <v>28</v>
      </c>
    </row>
    <row r="19" spans="2:4" x14ac:dyDescent="0.25">
      <c r="B19" s="4" t="s">
        <v>29</v>
      </c>
      <c r="C19" s="15">
        <f>C8*C13</f>
      </c>
      <c r="D19" s="6" t="s">
        <v>30</v>
      </c>
    </row>
    <row r="20" spans="2:4" x14ac:dyDescent="0.25">
      <c r="B20" s="4" t="s">
        <v>31</v>
      </c>
      <c r="C20" s="16">
        <f>C19*C9</f>
      </c>
      <c r="D20" s="6" t="s">
        <v>32</v>
      </c>
    </row>
    <row r="21" spans="2:4" x14ac:dyDescent="0.25">
      <c r="B21" s="4" t="s">
        <v>33</v>
      </c>
      <c r="C21" s="16">
        <f>C20/C18</f>
      </c>
      <c r="D21" s="6" t="s">
        <v>34</v>
      </c>
    </row>
    <row r="22" spans="2:4" x14ac:dyDescent="0.25">
      <c r="B22" s="4" t="s">
        <v>35</v>
      </c>
      <c r="C22" s="16">
        <f>C5-C21</f>
      </c>
      <c r="D22" s="6" t="s">
        <v>36</v>
      </c>
    </row>
    <row r="23" spans="2:4" x14ac:dyDescent="0.25">
      <c r="B23" s="4" t="s">
        <v>37</v>
      </c>
      <c r="C23" s="17">
        <f>IF(C21=0,0,C5/C21)</f>
      </c>
      <c r="D23" s="6" t="s">
        <v>38</v>
      </c>
    </row>
    <row r="24" spans="2:4" x14ac:dyDescent="0.25">
      <c r="B24" s="4" t="s">
        <v>39</v>
      </c>
      <c r="C24" s="18">
        <f>ROUNDDOWN(C5*C18/(C13*C9),2)</f>
      </c>
      <c r="D24" s="6" t="s">
        <v>40</v>
      </c>
    </row>
    <row r="25" spans="2:4" x14ac:dyDescent="0.25">
      <c r="B25" s="4" t="s">
        <v>41</v>
      </c>
      <c r="C25" s="15">
        <f>IF(C19=0,0,C9-IF($C$7="Sell",-1,1)*(C5-C15*C21)/C19)</f>
      </c>
      <c r="D25" s="6" t="s">
        <v>42</v>
      </c>
    </row>
    <row r="26" spans="2:4" x14ac:dyDescent="0.25">
      <c r="B26" s="4" t="s">
        <v>43</v>
      </c>
      <c r="C26" s="15">
        <f>ABS(C9-C25)</f>
      </c>
      <c r="D26" s="6" t="s">
        <v>44</v>
      </c>
    </row>
    <row r="28" ht="22" customHeight="1" spans="2:4" x14ac:dyDescent="0.25">
      <c r="B28" s="3" t="s">
        <v>45</v>
      </c>
      <c r="C28" s="3"/>
      <c r="D28" s="3"/>
    </row>
    <row r="29" spans="2:4" x14ac:dyDescent="0.25">
      <c r="B29" s="4" t="s">
        <v>46</v>
      </c>
      <c r="C29" s="16">
        <f>C13*C14</f>
      </c>
      <c r="D29" s="6" t="s">
        <v>47</v>
      </c>
    </row>
    <row r="30" spans="2:4" x14ac:dyDescent="0.25">
      <c r="B30" s="4" t="s">
        <v>48</v>
      </c>
      <c r="C30" s="16">
        <f>C29*C8</f>
      </c>
      <c r="D30" s="6" t="s">
        <v>49</v>
      </c>
    </row>
    <row r="31" spans="2:4" x14ac:dyDescent="0.25">
      <c r="B31" s="4" t="s">
        <v>50</v>
      </c>
      <c r="C31" s="19">
        <f>ABS(C9-C10)/C14</f>
      </c>
      <c r="D31" s="6" t="s">
        <v>51</v>
      </c>
    </row>
    <row r="32" spans="2:4" x14ac:dyDescent="0.25">
      <c r="B32" s="4" t="s">
        <v>52</v>
      </c>
      <c r="C32" s="19">
        <f>ABS(C11-C9)/C14</f>
      </c>
      <c r="D32" s="6" t="s">
        <v>53</v>
      </c>
    </row>
    <row r="33" spans="2:4" x14ac:dyDescent="0.25">
      <c r="B33" s="4" t="s">
        <v>54</v>
      </c>
      <c r="C33" s="16">
        <f>(C10-C9)*C19*IF($C$7="Sell",-1,1)</f>
      </c>
      <c r="D33" s="6" t="s">
        <v>55</v>
      </c>
    </row>
    <row r="34" spans="2:4" x14ac:dyDescent="0.25">
      <c r="B34" s="4" t="s">
        <v>56</v>
      </c>
      <c r="C34" s="16">
        <f>(C11-C9)*C19*IF($C$7="Sell",-1,1)</f>
      </c>
      <c r="D34" s="6" t="s">
        <v>57</v>
      </c>
    </row>
    <row r="35" spans="2:4" x14ac:dyDescent="0.25">
      <c r="B35" s="4" t="s">
        <v>58</v>
      </c>
      <c r="C35" s="17">
        <f>IF(C5=0,0,C33/C5)</f>
      </c>
      <c r="D35" s="6" t="s">
        <v>59</v>
      </c>
    </row>
    <row r="36" spans="2:4" x14ac:dyDescent="0.25">
      <c r="B36" s="4" t="s">
        <v>60</v>
      </c>
      <c r="C36" s="20">
        <f>IF(C33=0,0,ABS(C34/C33))</f>
      </c>
      <c r="D36" s="6" t="s">
        <v>61</v>
      </c>
    </row>
    <row r="37" spans="2:4" x14ac:dyDescent="0.25">
      <c r="B37" s="4" t="s">
        <v>62</v>
      </c>
      <c r="C37" s="18">
        <f>IF(C9=C10,0,MIN(ROUNDDOWN(C5*C12/(ABS(C9-C10)*C13),2),C24))</f>
      </c>
      <c r="D37" s="6" t="s">
        <v>63</v>
      </c>
    </row>
    <row r="38" spans="2:4" x14ac:dyDescent="0.25">
      <c r="B38" s="4" t="s">
        <v>64</v>
      </c>
      <c r="C38" s="21">
        <f>IF(C6&gt;2000,"⚠ Leverage capped at 1:2000",IF(C21&gt;C5,"⚠ Balance too small for this lot size",IF(OR(AND(C7="Buy",OR(C10&gt;=C9,C11&lt;=C9)),AND(C7="Sell",OR(C10&lt;=C9,C11&gt;=C9))),"⚠ Stop loss or take profit on the wrong side of entry","✓ Your numbers look fine")))</f>
      </c>
      <c r="D38" s="6" t="s">
        <v>65</v>
      </c>
    </row>
  </sheetData>
  <sheetProtection sheet="1" formatColumns="0" formatRows="0"/>
  <mergeCells count="5">
    <mergeCell ref="B1:D1"/>
    <mergeCell ref="B2:D2"/>
    <mergeCell ref="B4:D4"/>
    <mergeCell ref="B17:D17"/>
    <mergeCell ref="B28:D28"/>
  </mergeCells>
  <conditionalFormatting sqref="C33:C34">
    <cfRule type="cellIs" dxfId="0" priority="1" operator="lessThan">
      <formula>0</formula>
    </cfRule>
    <cfRule type="cellIs" dxfId="1" priority="2" operator="greaterThan">
      <formula>0</formula>
    </cfRule>
  </conditionalFormatting>
  <conditionalFormatting sqref="C38">
    <cfRule type="containsText" dxfId="2" priority="3">
      <formula>NOT(ISERROR(SEARCH("⚠",C38)))</formula>
    </cfRule>
  </conditionalFormatting>
  <conditionalFormatting sqref="C22">
    <cfRule type="cellIs" dxfId="3" priority="4" operator="lessThan">
      <formula>0</formula>
    </cfRule>
  </conditionalFormatting>
  <dataValidations count="8">
    <dataValidation type="decimal" operator="greaterThan" showErrorMessage="1" error="Enter a positive number." sqref="C10:C11">
      <formula1>0</formula1>
    </dataValidation>
    <dataValidation type="decimal" showErrorMessage="1" error="Enter a percentage between 0% and 100%." sqref="C12">
      <formula1>0</formula1>
      <formula2>1</formula2>
    </dataValidation>
    <dataValidation type="decimal" operator="greaterThan" showErrorMessage="1" error="Enter a positive number." sqref="C13:C14">
      <formula1>0</formula1>
    </dataValidation>
    <dataValidation type="decimal" showErrorMessage="1" error="Enter a percentage, e.g. 50%." sqref="C15">
      <formula1>0</formula1>
      <formula2>10</formula2>
    </dataValidation>
    <dataValidation type="decimal" operator="greaterThan" showErrorMessage="1" error="Enter a positive number." sqref="C5">
      <formula1>0</formula1>
    </dataValidation>
    <dataValidation type="whole" showInputMessage="1" promptTitle="Leverage" prompt="1 to 2000 (e.g. 500 means 1:500)" showErrorMessage="1" errorTitle="Leverage limit" error="Enter a whole number between 1 and 2000." sqref="C6">
      <formula1>1</formula1>
      <formula2>2000</formula2>
    </dataValidation>
    <dataValidation type="list" showErrorMessage="1" error="Choose Buy or Sell." sqref="C7">
      <formula1>"Buy,Sell"</formula1>
    </dataValidation>
    <dataValidation type="decimal" operator="greaterThan" showErrorMessage="1" error="Enter a positive number." sqref="C8:C11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A3222"/>
  </sheetPr>
  <dimension ref="B1:F2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14" customWidth="1"/>
    <col min="3" max="3" width="20" customWidth="1"/>
    <col min="4" max="4" width="22" customWidth="1"/>
    <col min="5" max="5" width="18" customWidth="1"/>
    <col min="6" max="6" width="22" customWidth="1"/>
  </cols>
  <sheetData>
    <row r="1" ht="28" customHeight="1" spans="2:6" x14ac:dyDescent="0.25">
      <c r="B1" s="22" t="s">
        <v>66</v>
      </c>
      <c r="C1" s="22"/>
      <c r="D1" s="22"/>
      <c r="E1" s="22"/>
      <c r="F1" s="22"/>
    </row>
    <row r="2" spans="2:2" x14ac:dyDescent="0.25">
      <c r="B2" s="2">
        <f>"Entry "&amp;TEXT(Calculator!C9,"#,##0.00")&amp;"  ·  "&amp;TEXT(Calculator!C8,"0.00")&amp;" lots  ·  balance "&amp;TEXT(Calculator!C5,"$#,##0")</f>
      </c>
    </row>
    <row r="4" spans="2:6" x14ac:dyDescent="0.25">
      <c r="B4" s="23" t="s">
        <v>67</v>
      </c>
      <c r="C4" s="23" t="s">
        <v>68</v>
      </c>
      <c r="D4" s="23" t="s">
        <v>69</v>
      </c>
      <c r="E4" s="23" t="s">
        <v>70</v>
      </c>
      <c r="F4" s="23" t="s">
        <v>71</v>
      </c>
    </row>
    <row r="5" spans="2:6" x14ac:dyDescent="0.25">
      <c r="B5" s="24">
        <v>1</v>
      </c>
      <c r="C5" s="25">
        <f>Calculator!$C$13*Calculator!$C$9/B5</f>
      </c>
      <c r="D5" s="25">
        <f>Calculator!$C$13*Calculator!$C$9*Calculator!$C$8/B5</f>
      </c>
      <c r="E5" s="26">
        <f>ROUNDDOWN(Calculator!$C$5*B5/(Calculator!$C$13*Calculator!$C$9),2)</f>
      </c>
      <c r="F5" s="27">
        <f>IF(Calculator!$C$19=0,0,Calculator!$C$9-IF(Calculator!$C$7="Sell",-1,1)*(Calculator!$C$5-Calculator!$C$15*Calculator!$C$13*Calculator!$C$9*Calculator!$C$8/B5)/Calculator!$C$19)</f>
      </c>
    </row>
    <row r="6" spans="2:6" x14ac:dyDescent="0.25">
      <c r="B6" s="28">
        <v>10</v>
      </c>
      <c r="C6" s="29">
        <f>Calculator!$C$13*Calculator!$C$9/B6</f>
      </c>
      <c r="D6" s="29">
        <f>Calculator!$C$13*Calculator!$C$9*Calculator!$C$8/B6</f>
      </c>
      <c r="E6" s="30">
        <f>ROUNDDOWN(Calculator!$C$5*B6/(Calculator!$C$13*Calculator!$C$9),2)</f>
      </c>
      <c r="F6" s="31">
        <f>IF(Calculator!$C$19=0,0,Calculator!$C$9-IF(Calculator!$C$7="Sell",-1,1)*(Calculator!$C$5-Calculator!$C$15*Calculator!$C$13*Calculator!$C$9*Calculator!$C$8/B6)/Calculator!$C$19)</f>
      </c>
    </row>
    <row r="7" spans="2:6" x14ac:dyDescent="0.25">
      <c r="B7" s="24">
        <v>20</v>
      </c>
      <c r="C7" s="25">
        <f>Calculator!$C$13*Calculator!$C$9/B7</f>
      </c>
      <c r="D7" s="25">
        <f>Calculator!$C$13*Calculator!$C$9*Calculator!$C$8/B7</f>
      </c>
      <c r="E7" s="26">
        <f>ROUNDDOWN(Calculator!$C$5*B7/(Calculator!$C$13*Calculator!$C$9),2)</f>
      </c>
      <c r="F7" s="27">
        <f>IF(Calculator!$C$19=0,0,Calculator!$C$9-IF(Calculator!$C$7="Sell",-1,1)*(Calculator!$C$5-Calculator!$C$15*Calculator!$C$13*Calculator!$C$9*Calculator!$C$8/B7)/Calculator!$C$19)</f>
      </c>
    </row>
    <row r="8" spans="2:6" x14ac:dyDescent="0.25">
      <c r="B8" s="28">
        <v>30</v>
      </c>
      <c r="C8" s="29">
        <f>Calculator!$C$13*Calculator!$C$9/B8</f>
      </c>
      <c r="D8" s="29">
        <f>Calculator!$C$13*Calculator!$C$9*Calculator!$C$8/B8</f>
      </c>
      <c r="E8" s="30">
        <f>ROUNDDOWN(Calculator!$C$5*B8/(Calculator!$C$13*Calculator!$C$9),2)</f>
      </c>
      <c r="F8" s="31">
        <f>IF(Calculator!$C$19=0,0,Calculator!$C$9-IF(Calculator!$C$7="Sell",-1,1)*(Calculator!$C$5-Calculator!$C$15*Calculator!$C$13*Calculator!$C$9*Calculator!$C$8/B8)/Calculator!$C$19)</f>
      </c>
    </row>
    <row r="9" spans="2:6" x14ac:dyDescent="0.25">
      <c r="B9" s="24">
        <v>50</v>
      </c>
      <c r="C9" s="25">
        <f>Calculator!$C$13*Calculator!$C$9/B9</f>
      </c>
      <c r="D9" s="25">
        <f>Calculator!$C$13*Calculator!$C$9*Calculator!$C$8/B9</f>
      </c>
      <c r="E9" s="26">
        <f>ROUNDDOWN(Calculator!$C$5*B9/(Calculator!$C$13*Calculator!$C$9),2)</f>
      </c>
      <c r="F9" s="27">
        <f>IF(Calculator!$C$19=0,0,Calculator!$C$9-IF(Calculator!$C$7="Sell",-1,1)*(Calculator!$C$5-Calculator!$C$15*Calculator!$C$13*Calculator!$C$9*Calculator!$C$8/B9)/Calculator!$C$19)</f>
      </c>
    </row>
    <row r="10" spans="2:6" x14ac:dyDescent="0.25">
      <c r="B10" s="28">
        <v>100</v>
      </c>
      <c r="C10" s="29">
        <f>Calculator!$C$13*Calculator!$C$9/B10</f>
      </c>
      <c r="D10" s="29">
        <f>Calculator!$C$13*Calculator!$C$9*Calculator!$C$8/B10</f>
      </c>
      <c r="E10" s="30">
        <f>ROUNDDOWN(Calculator!$C$5*B10/(Calculator!$C$13*Calculator!$C$9),2)</f>
      </c>
      <c r="F10" s="31">
        <f>IF(Calculator!$C$19=0,0,Calculator!$C$9-IF(Calculator!$C$7="Sell",-1,1)*(Calculator!$C$5-Calculator!$C$15*Calculator!$C$13*Calculator!$C$9*Calculator!$C$8/B10)/Calculator!$C$19)</f>
      </c>
    </row>
    <row r="11" spans="2:6" x14ac:dyDescent="0.25">
      <c r="B11" s="24">
        <v>200</v>
      </c>
      <c r="C11" s="25">
        <f>Calculator!$C$13*Calculator!$C$9/B11</f>
      </c>
      <c r="D11" s="25">
        <f>Calculator!$C$13*Calculator!$C$9*Calculator!$C$8/B11</f>
      </c>
      <c r="E11" s="26">
        <f>ROUNDDOWN(Calculator!$C$5*B11/(Calculator!$C$13*Calculator!$C$9),2)</f>
      </c>
      <c r="F11" s="27">
        <f>IF(Calculator!$C$19=0,0,Calculator!$C$9-IF(Calculator!$C$7="Sell",-1,1)*(Calculator!$C$5-Calculator!$C$15*Calculator!$C$13*Calculator!$C$9*Calculator!$C$8/B11)/Calculator!$C$19)</f>
      </c>
    </row>
    <row r="12" spans="2:6" x14ac:dyDescent="0.25">
      <c r="B12" s="28">
        <v>300</v>
      </c>
      <c r="C12" s="29">
        <f>Calculator!$C$13*Calculator!$C$9/B12</f>
      </c>
      <c r="D12" s="29">
        <f>Calculator!$C$13*Calculator!$C$9*Calculator!$C$8/B12</f>
      </c>
      <c r="E12" s="30">
        <f>ROUNDDOWN(Calculator!$C$5*B12/(Calculator!$C$13*Calculator!$C$9),2)</f>
      </c>
      <c r="F12" s="31">
        <f>IF(Calculator!$C$19=0,0,Calculator!$C$9-IF(Calculator!$C$7="Sell",-1,1)*(Calculator!$C$5-Calculator!$C$15*Calculator!$C$13*Calculator!$C$9*Calculator!$C$8/B12)/Calculator!$C$19)</f>
      </c>
    </row>
    <row r="13" spans="2:6" x14ac:dyDescent="0.25">
      <c r="B13" s="24">
        <v>400</v>
      </c>
      <c r="C13" s="25">
        <f>Calculator!$C$13*Calculator!$C$9/B13</f>
      </c>
      <c r="D13" s="25">
        <f>Calculator!$C$13*Calculator!$C$9*Calculator!$C$8/B13</f>
      </c>
      <c r="E13" s="26">
        <f>ROUNDDOWN(Calculator!$C$5*B13/(Calculator!$C$13*Calculator!$C$9),2)</f>
      </c>
      <c r="F13" s="27">
        <f>IF(Calculator!$C$19=0,0,Calculator!$C$9-IF(Calculator!$C$7="Sell",-1,1)*(Calculator!$C$5-Calculator!$C$15*Calculator!$C$13*Calculator!$C$9*Calculator!$C$8/B13)/Calculator!$C$19)</f>
      </c>
    </row>
    <row r="14" spans="2:6" x14ac:dyDescent="0.25">
      <c r="B14" s="28">
        <v>500</v>
      </c>
      <c r="C14" s="29">
        <f>Calculator!$C$13*Calculator!$C$9/B14</f>
      </c>
      <c r="D14" s="29">
        <f>Calculator!$C$13*Calculator!$C$9*Calculator!$C$8/B14</f>
      </c>
      <c r="E14" s="30">
        <f>ROUNDDOWN(Calculator!$C$5*B14/(Calculator!$C$13*Calculator!$C$9),2)</f>
      </c>
      <c r="F14" s="31">
        <f>IF(Calculator!$C$19=0,0,Calculator!$C$9-IF(Calculator!$C$7="Sell",-1,1)*(Calculator!$C$5-Calculator!$C$15*Calculator!$C$13*Calculator!$C$9*Calculator!$C$8/B14)/Calculator!$C$19)</f>
      </c>
    </row>
    <row r="15" spans="2:6" x14ac:dyDescent="0.25">
      <c r="B15" s="24">
        <v>888</v>
      </c>
      <c r="C15" s="25">
        <f>Calculator!$C$13*Calculator!$C$9/B15</f>
      </c>
      <c r="D15" s="25">
        <f>Calculator!$C$13*Calculator!$C$9*Calculator!$C$8/B15</f>
      </c>
      <c r="E15" s="26">
        <f>ROUNDDOWN(Calculator!$C$5*B15/(Calculator!$C$13*Calculator!$C$9),2)</f>
      </c>
      <c r="F15" s="27">
        <f>IF(Calculator!$C$19=0,0,Calculator!$C$9-IF(Calculator!$C$7="Sell",-1,1)*(Calculator!$C$5-Calculator!$C$15*Calculator!$C$13*Calculator!$C$9*Calculator!$C$8/B15)/Calculator!$C$19)</f>
      </c>
    </row>
    <row r="16" spans="2:6" x14ac:dyDescent="0.25">
      <c r="B16" s="28">
        <v>1000</v>
      </c>
      <c r="C16" s="29">
        <f>Calculator!$C$13*Calculator!$C$9/B16</f>
      </c>
      <c r="D16" s="29">
        <f>Calculator!$C$13*Calculator!$C$9*Calculator!$C$8/B16</f>
      </c>
      <c r="E16" s="30">
        <f>ROUNDDOWN(Calculator!$C$5*B16/(Calculator!$C$13*Calculator!$C$9),2)</f>
      </c>
      <c r="F16" s="31">
        <f>IF(Calculator!$C$19=0,0,Calculator!$C$9-IF(Calculator!$C$7="Sell",-1,1)*(Calculator!$C$5-Calculator!$C$15*Calculator!$C$13*Calculator!$C$9*Calculator!$C$8/B16)/Calculator!$C$19)</f>
      </c>
    </row>
    <row r="17" spans="2:6" x14ac:dyDescent="0.25">
      <c r="B17" s="24">
        <v>1500</v>
      </c>
      <c r="C17" s="25">
        <f>Calculator!$C$13*Calculator!$C$9/B17</f>
      </c>
      <c r="D17" s="25">
        <f>Calculator!$C$13*Calculator!$C$9*Calculator!$C$8/B17</f>
      </c>
      <c r="E17" s="26">
        <f>ROUNDDOWN(Calculator!$C$5*B17/(Calculator!$C$13*Calculator!$C$9),2)</f>
      </c>
      <c r="F17" s="27">
        <f>IF(Calculator!$C$19=0,0,Calculator!$C$9-IF(Calculator!$C$7="Sell",-1,1)*(Calculator!$C$5-Calculator!$C$15*Calculator!$C$13*Calculator!$C$9*Calculator!$C$8/B17)/Calculator!$C$19)</f>
      </c>
    </row>
    <row r="18" spans="2:6" x14ac:dyDescent="0.25">
      <c r="B18" s="28">
        <v>2000</v>
      </c>
      <c r="C18" s="29">
        <f>Calculator!$C$13*Calculator!$C$9/B18</f>
      </c>
      <c r="D18" s="29">
        <f>Calculator!$C$13*Calculator!$C$9*Calculator!$C$8/B18</f>
      </c>
      <c r="E18" s="30">
        <f>ROUNDDOWN(Calculator!$C$5*B18/(Calculator!$C$13*Calculator!$C$9),2)</f>
      </c>
      <c r="F18" s="31">
        <f>IF(Calculator!$C$19=0,0,Calculator!$C$9-IF(Calculator!$C$7="Sell",-1,1)*(Calculator!$C$5-Calculator!$C$15*Calculator!$C$13*Calculator!$C$9*Calculator!$C$8/B18)/Calculator!$C$19)</f>
      </c>
    </row>
    <row r="20" spans="2:2" x14ac:dyDescent="0.25">
      <c r="B20" s="32" t="s">
        <v>72</v>
      </c>
    </row>
  </sheetData>
  <mergeCells count="1">
    <mergeCell ref="B1:F1"/>
  </mergeCells>
  <conditionalFormatting sqref="B5:F18">
    <cfRule type="expression" dxfId="4" priority="1">
      <formula>$B5=Calculator!$C$18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1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10" customWidth="1"/>
  </cols>
  <sheetData>
    <row r="2" spans="2:2" x14ac:dyDescent="0.25">
      <c r="B2" s="33" t="s">
        <v>73</v>
      </c>
    </row>
    <row r="3" spans="2:2" x14ac:dyDescent="0.25">
      <c r="B3" s="34" t="s">
        <v>74</v>
      </c>
    </row>
    <row r="4" spans="2:2" x14ac:dyDescent="0.25">
      <c r="B4" s="34" t="s">
        <v>75</v>
      </c>
    </row>
    <row r="5" spans="2:2" x14ac:dyDescent="0.25">
      <c r="B5" s="34" t="s">
        <v>76</v>
      </c>
    </row>
    <row r="6" spans="2:2" x14ac:dyDescent="0.25">
      <c r="B6" s="34" t="s">
        <v>77</v>
      </c>
    </row>
    <row r="7" spans="2:2" x14ac:dyDescent="0.25">
      <c r="B7" s="34" t="s">
        <v>78</v>
      </c>
    </row>
    <row r="8" spans="2:2" x14ac:dyDescent="0.25">
      <c r="B8" s="33" t="s">
        <v>79</v>
      </c>
    </row>
    <row r="9" spans="2:2" x14ac:dyDescent="0.25">
      <c r="B9" s="34" t="s">
        <v>80</v>
      </c>
    </row>
    <row r="10" spans="2:2" x14ac:dyDescent="0.25">
      <c r="B10" s="34" t="s">
        <v>81</v>
      </c>
    </row>
    <row r="11" spans="2:2" x14ac:dyDescent="0.25">
      <c r="B11" s="34" t="s">
        <v>82</v>
      </c>
    </row>
    <row r="12" spans="2:2" x14ac:dyDescent="0.25">
      <c r="B12" s="34" t="s">
        <v>83</v>
      </c>
    </row>
    <row r="13" spans="2:2" x14ac:dyDescent="0.25">
      <c r="B13" s="34" t="s">
        <v>84</v>
      </c>
    </row>
    <row r="14" spans="2:2" x14ac:dyDescent="0.25">
      <c r="B14" s="34" t="s">
        <v>78</v>
      </c>
    </row>
    <row r="15" spans="2:2" x14ac:dyDescent="0.25">
      <c r="B15" s="33" t="s">
        <v>85</v>
      </c>
    </row>
    <row r="16" spans="2:2" x14ac:dyDescent="0.25">
      <c r="B16" s="34" t="s">
        <v>86</v>
      </c>
    </row>
    <row r="17" spans="2:2" x14ac:dyDescent="0.25">
      <c r="B17" s="34" t="s">
        <v>87</v>
      </c>
    </row>
    <row r="18" spans="2:2" x14ac:dyDescent="0.25">
      <c r="B18" s="34" t="s">
        <v>88</v>
      </c>
    </row>
    <row r="19" spans="2:2" x14ac:dyDescent="0.25">
      <c r="B19" s="34" t="s">
        <v>78</v>
      </c>
    </row>
    <row r="20" spans="2:2" x14ac:dyDescent="0.25">
      <c r="B20" s="33" t="s">
        <v>89</v>
      </c>
    </row>
    <row r="21" spans="2:2" x14ac:dyDescent="0.25">
      <c r="B21" s="34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Calculator</vt:lpstr>
      <vt:lpstr>Leverage Table</vt:lpstr>
      <vt:lpstr>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XAUUSD Calculator</dc:creator>
  <dc:title/>
  <dc:subject/>
  <dc:description/>
  <cp:keywords/>
  <cp:category/>
  <cp:lastModifiedBy>Unknown</cp:lastModifiedBy>
  <dcterms:created xsi:type="dcterms:W3CDTF">2026-10-10T09:56:35Z</dcterms:created>
  <dcterms:modified xsi:type="dcterms:W3CDTF">2026-10-10T09:56:35Z</dcterms:modified>
</cp:coreProperties>
</file>